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ty.hickok.NANA\Google Drive\NHRMA\President\2015 and beyond Profit Sharing\"/>
    </mc:Choice>
  </mc:AlternateContent>
  <bookViews>
    <workbookView xWindow="0" yWindow="0" windowWidth="25200" windowHeight="11385" firstSheet="1" activeTab="2"/>
  </bookViews>
  <sheets>
    <sheet name="Conference" sheetId="1" r:id="rId1"/>
    <sheet name="Consolidated" sheetId="5" r:id="rId2"/>
    <sheet name="Sheet1" sheetId="6" r:id="rId3"/>
    <sheet name="Attendance" sheetId="4" r:id="rId4"/>
    <sheet name="Membership" sheetId="2" r:id="rId5"/>
    <sheet name="SHAPE Payments per State" sheetId="3" r:id="rId6"/>
  </sheets>
  <calcPr calcId="152511"/>
</workbook>
</file>

<file path=xl/calcChain.xml><?xml version="1.0" encoding="utf-8"?>
<calcChain xmlns="http://schemas.openxmlformats.org/spreadsheetml/2006/main">
  <c r="D44" i="6" l="1"/>
  <c r="D41" i="6"/>
  <c r="D38" i="6"/>
  <c r="I22" i="6"/>
  <c r="I19" i="6"/>
  <c r="I16" i="6"/>
  <c r="J14" i="6"/>
  <c r="J22" i="6" s="1"/>
  <c r="R9" i="6"/>
  <c r="F9" i="6"/>
  <c r="R8" i="6"/>
  <c r="Q8" i="6"/>
  <c r="Q10" i="6" s="1"/>
  <c r="L8" i="6"/>
  <c r="K8" i="6"/>
  <c r="F8" i="6"/>
  <c r="E8" i="6"/>
  <c r="E10" i="6" s="1"/>
  <c r="C8" i="6"/>
  <c r="B8" i="6"/>
  <c r="P7" i="6"/>
  <c r="S7" i="6" s="1"/>
  <c r="J7" i="6"/>
  <c r="M7" i="6" s="1"/>
  <c r="D7" i="6"/>
  <c r="G7" i="6" s="1"/>
  <c r="P6" i="6"/>
  <c r="S6" i="6" s="1"/>
  <c r="J6" i="6"/>
  <c r="M6" i="6" s="1"/>
  <c r="D6" i="6"/>
  <c r="G6" i="6" s="1"/>
  <c r="P5" i="6"/>
  <c r="S5" i="6" s="1"/>
  <c r="J5" i="6"/>
  <c r="J8" i="6" s="1"/>
  <c r="D5" i="6"/>
  <c r="G5" i="6" s="1"/>
  <c r="K3" i="6"/>
  <c r="E29" i="6" l="1"/>
  <c r="E32" i="6"/>
  <c r="D8" i="6"/>
  <c r="J19" i="6"/>
  <c r="J16" i="6"/>
  <c r="M5" i="6"/>
  <c r="K3" i="5"/>
  <c r="J14" i="5"/>
  <c r="J19" i="5" s="1"/>
  <c r="J22" i="5"/>
  <c r="I22" i="5"/>
  <c r="I19" i="5"/>
  <c r="I16" i="5"/>
  <c r="D44" i="5"/>
  <c r="D41" i="5"/>
  <c r="D38" i="5"/>
  <c r="C8" i="5"/>
  <c r="B8" i="5"/>
  <c r="H32" i="6" l="1"/>
  <c r="G32" i="6"/>
  <c r="F32" i="6"/>
  <c r="E34" i="6"/>
  <c r="J16" i="5"/>
  <c r="Q10" i="5"/>
  <c r="E10" i="5"/>
  <c r="E32" i="5" s="1"/>
  <c r="Q8" i="5"/>
  <c r="R9" i="5" s="1"/>
  <c r="K8" i="5"/>
  <c r="E8" i="5"/>
  <c r="J37" i="6" l="1"/>
  <c r="J36" i="6"/>
  <c r="J35" i="6"/>
  <c r="J38" i="6" s="1"/>
  <c r="H32" i="5"/>
  <c r="G32" i="5"/>
  <c r="F32" i="5"/>
  <c r="E34" i="5"/>
  <c r="R8" i="5"/>
  <c r="M7" i="5"/>
  <c r="L8" i="5"/>
  <c r="M5" i="5" s="1"/>
  <c r="F8" i="5"/>
  <c r="F9" i="5" s="1"/>
  <c r="E29" i="5" s="1"/>
  <c r="P7" i="5"/>
  <c r="S7" i="5" s="1"/>
  <c r="P6" i="5"/>
  <c r="S6" i="5" s="1"/>
  <c r="P5" i="5"/>
  <c r="S5" i="5" s="1"/>
  <c r="J7" i="5"/>
  <c r="J6" i="5"/>
  <c r="M6" i="5" s="1"/>
  <c r="J5" i="5"/>
  <c r="D7" i="5"/>
  <c r="G7" i="5" s="1"/>
  <c r="D6" i="5"/>
  <c r="G6" i="5" s="1"/>
  <c r="D5" i="5"/>
  <c r="D8" i="5" s="1"/>
  <c r="D5" i="3"/>
  <c r="C5" i="3"/>
  <c r="B5" i="3"/>
  <c r="D8" i="1"/>
  <c r="C8" i="1"/>
  <c r="D7" i="1"/>
  <c r="D6" i="1"/>
  <c r="C7" i="1"/>
  <c r="C6" i="1"/>
  <c r="C5" i="1"/>
  <c r="G5" i="5" l="1"/>
  <c r="J35" i="5"/>
  <c r="J37" i="5"/>
  <c r="J36" i="5"/>
  <c r="J8" i="5"/>
  <c r="B8" i="1"/>
  <c r="J38" i="5" l="1"/>
</calcChain>
</file>

<file path=xl/sharedStrings.xml><?xml version="1.0" encoding="utf-8"?>
<sst xmlns="http://schemas.openxmlformats.org/spreadsheetml/2006/main" count="121" uniqueCount="41">
  <si>
    <t>State</t>
  </si>
  <si>
    <t>Count</t>
  </si>
  <si>
    <t xml:space="preserve">Alaska </t>
  </si>
  <si>
    <t xml:space="preserve">Oregon </t>
  </si>
  <si>
    <t xml:space="preserve">Washington </t>
  </si>
  <si>
    <t>Total</t>
  </si>
  <si>
    <t>NHRMA Registrant Counts by State</t>
  </si>
  <si>
    <t>2013-WA, Tacoma</t>
  </si>
  <si>
    <t>2014 - WA, Spokane</t>
  </si>
  <si>
    <t>2012 - AK, Anchorage</t>
  </si>
  <si>
    <t>STATE</t>
  </si>
  <si>
    <t>AK</t>
  </si>
  <si>
    <t>OR</t>
  </si>
  <si>
    <t>WA</t>
  </si>
  <si>
    <t>as of December 31 of each year</t>
  </si>
  <si>
    <t>Membership</t>
  </si>
  <si>
    <t>Attendance</t>
  </si>
  <si>
    <t>SHAPE Payments</t>
  </si>
  <si>
    <t>2012, AK, Anchorage</t>
  </si>
  <si>
    <t>2013, WA, Tacoma</t>
  </si>
  <si>
    <t>2014, WA Spokane</t>
  </si>
  <si>
    <t>2012, Ak Anchorage</t>
  </si>
  <si>
    <t>% SHAPE:Attendance</t>
  </si>
  <si>
    <t>% Attendance: Membership</t>
  </si>
  <si>
    <t xml:space="preserve">Conference Profits pd to host </t>
  </si>
  <si>
    <t>Conference Profits pd to host chapter</t>
  </si>
  <si>
    <t>Subtotal</t>
  </si>
  <si>
    <t>Total Paid Out</t>
  </si>
  <si>
    <t>Overall Conference Profit</t>
  </si>
  <si>
    <t>calculated as: if 8,135 was 25% of profits, then total profit was that amount x 4</t>
  </si>
  <si>
    <t>NHRMA got?</t>
  </si>
  <si>
    <t xml:space="preserve">If that is the case, then it appears </t>
  </si>
  <si>
    <t>15% allocated to the states</t>
  </si>
  <si>
    <t>NHRMA</t>
  </si>
  <si>
    <t>host chapter</t>
  </si>
  <si>
    <t>15% to chapters</t>
  </si>
  <si>
    <t>allocate to 3 states</t>
  </si>
  <si>
    <t>This below calculates the Total %Attendance:Membership</t>
  </si>
  <si>
    <t>Net Profit $113,096</t>
  </si>
  <si>
    <t>Conference Sample</t>
  </si>
  <si>
    <t>Profit 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</si>
</sst>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5" x14ac:knownFonts="1">
    <font>
      <sz val="9"/>
      <color indexed="8"/>
      <name val="Arial"/>
      <charset val="1"/>
    </font>
    <font>
      <b/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b/>
      <i/>
      <sz val="11"/>
      <color rgb="FFFF0000"/>
      <name val="Verdana"/>
      <family val="2"/>
    </font>
    <font>
      <i/>
      <sz val="11"/>
      <color rgb="FFFF0000"/>
      <name val="Verdana"/>
      <family val="2"/>
    </font>
    <font>
      <i/>
      <u/>
      <sz val="11"/>
      <color rgb="FF008080"/>
      <name val="Verdana"/>
      <family val="2"/>
    </font>
    <font>
      <i/>
      <sz val="10"/>
      <color rgb="FFFF0000"/>
      <name val="Verdana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16"/>
      <color theme="1"/>
      <name val="Arial"/>
      <family val="2"/>
    </font>
    <font>
      <b/>
      <sz val="16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6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2" fillId="0" borderId="1" xfId="1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center"/>
    </xf>
    <xf numFmtId="0" fontId="3" fillId="0" borderId="0" xfId="0" applyFont="1" applyAlignment="1"/>
    <xf numFmtId="0" fontId="7" fillId="3" borderId="2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justify" vertical="center" wrapText="1"/>
    </xf>
    <xf numFmtId="0" fontId="7" fillId="4" borderId="5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5" fillId="0" borderId="0" xfId="0" applyFont="1"/>
    <xf numFmtId="0" fontId="9" fillId="4" borderId="6" xfId="0" applyFont="1" applyFill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4" fontId="0" fillId="0" borderId="0" xfId="2" applyFont="1"/>
    <xf numFmtId="44" fontId="10" fillId="4" borderId="6" xfId="2" applyFont="1" applyFill="1" applyBorder="1" applyAlignment="1">
      <alignment horizontal="justify" vertical="center" wrapText="1"/>
    </xf>
    <xf numFmtId="44" fontId="10" fillId="0" borderId="6" xfId="2" applyFont="1" applyBorder="1" applyAlignment="1">
      <alignment horizontal="justify" vertical="center" wrapText="1"/>
    </xf>
    <xf numFmtId="0" fontId="11" fillId="5" borderId="0" xfId="0" applyFont="1" applyFill="1" applyAlignment="1">
      <alignment horizontal="center" wrapText="1"/>
    </xf>
    <xf numFmtId="2" fontId="5" fillId="0" borderId="0" xfId="0" applyNumberFormat="1" applyFont="1"/>
    <xf numFmtId="0" fontId="11" fillId="7" borderId="0" xfId="0" applyFont="1" applyFill="1" applyAlignment="1">
      <alignment horizontal="center" wrapText="1"/>
    </xf>
    <xf numFmtId="0" fontId="0" fillId="6" borderId="0" xfId="0" applyFill="1"/>
    <xf numFmtId="0" fontId="5" fillId="0" borderId="7" xfId="0" applyFont="1" applyBorder="1"/>
    <xf numFmtId="2" fontId="5" fillId="0" borderId="7" xfId="0" applyNumberFormat="1" applyFont="1" applyBorder="1"/>
    <xf numFmtId="0" fontId="0" fillId="0" borderId="7" xfId="0" applyBorder="1"/>
    <xf numFmtId="0" fontId="2" fillId="0" borderId="0" xfId="0" applyFont="1"/>
    <xf numFmtId="0" fontId="11" fillId="5" borderId="0" xfId="0" applyFont="1" applyFill="1" applyAlignment="1">
      <alignment horizontal="center" wrapText="1"/>
    </xf>
    <xf numFmtId="0" fontId="11" fillId="6" borderId="0" xfId="0" applyFont="1" applyFill="1" applyAlignment="1">
      <alignment horizontal="center" wrapText="1"/>
    </xf>
    <xf numFmtId="44" fontId="5" fillId="0" borderId="0" xfId="2" applyFont="1"/>
    <xf numFmtId="44" fontId="5" fillId="0" borderId="7" xfId="2" applyFont="1" applyBorder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0" fontId="5" fillId="8" borderId="0" xfId="0" applyFont="1" applyFill="1"/>
    <xf numFmtId="0" fontId="5" fillId="8" borderId="7" xfId="0" applyFont="1" applyFill="1" applyBorder="1"/>
    <xf numFmtId="44" fontId="0" fillId="0" borderId="0" xfId="0" applyNumberFormat="1"/>
    <xf numFmtId="44" fontId="2" fillId="0" borderId="0" xfId="0" applyNumberFormat="1" applyFont="1"/>
    <xf numFmtId="44" fontId="0" fillId="0" borderId="8" xfId="0" applyNumberFormat="1" applyBorder="1"/>
    <xf numFmtId="44" fontId="0" fillId="0" borderId="8" xfId="2" applyFont="1" applyBorder="1"/>
    <xf numFmtId="0" fontId="2" fillId="0" borderId="8" xfId="0" applyFont="1" applyBorder="1"/>
    <xf numFmtId="0" fontId="0" fillId="0" borderId="8" xfId="0" applyBorder="1"/>
    <xf numFmtId="44" fontId="2" fillId="0" borderId="0" xfId="2" applyFont="1"/>
    <xf numFmtId="44" fontId="5" fillId="9" borderId="0" xfId="2" applyFont="1" applyFill="1"/>
    <xf numFmtId="44" fontId="5" fillId="9" borderId="7" xfId="2" applyFont="1" applyFill="1" applyBorder="1"/>
    <xf numFmtId="44" fontId="0" fillId="9" borderId="0" xfId="0" applyNumberFormat="1" applyFill="1"/>
    <xf numFmtId="0" fontId="0" fillId="0" borderId="0" xfId="0" applyFill="1"/>
    <xf numFmtId="0" fontId="11" fillId="5" borderId="0" xfId="0" applyFont="1" applyFill="1" applyAlignment="1">
      <alignment horizontal="center" wrapText="1"/>
    </xf>
    <xf numFmtId="0" fontId="11" fillId="6" borderId="0" xfId="0" applyFont="1" applyFill="1" applyAlignment="1">
      <alignment horizontal="center" wrapText="1"/>
    </xf>
    <xf numFmtId="0" fontId="0" fillId="10" borderId="0" xfId="0" applyFill="1"/>
    <xf numFmtId="0" fontId="5" fillId="10" borderId="0" xfId="0" applyFont="1" applyFill="1"/>
    <xf numFmtId="44" fontId="0" fillId="10" borderId="0" xfId="0" applyNumberFormat="1" applyFill="1"/>
    <xf numFmtId="10" fontId="0" fillId="10" borderId="0" xfId="0" applyNumberFormat="1" applyFill="1"/>
    <xf numFmtId="0" fontId="1" fillId="10" borderId="0" xfId="0" applyFont="1" applyFill="1"/>
    <xf numFmtId="0" fontId="1" fillId="0" borderId="0" xfId="0" applyFont="1"/>
    <xf numFmtId="0" fontId="12" fillId="7" borderId="0" xfId="0" applyFont="1" applyFill="1" applyAlignment="1">
      <alignment wrapText="1"/>
    </xf>
    <xf numFmtId="44" fontId="0" fillId="0" borderId="0" xfId="0" applyNumberFormat="1" applyFill="1"/>
    <xf numFmtId="0" fontId="14" fillId="7" borderId="0" xfId="0" applyFont="1" applyFill="1" applyAlignment="1">
      <alignment wrapText="1"/>
    </xf>
    <xf numFmtId="44" fontId="13" fillId="7" borderId="0" xfId="2" applyFont="1" applyFill="1" applyAlignment="1">
      <alignment horizontal="left" wrapText="1"/>
    </xf>
    <xf numFmtId="1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3" fillId="7" borderId="0" xfId="0" applyFont="1" applyFill="1" applyAlignment="1">
      <alignment horizontal="center" wrapText="1"/>
    </xf>
    <xf numFmtId="0" fontId="11" fillId="5" borderId="0" xfId="0" applyFont="1" applyFill="1" applyAlignment="1">
      <alignment horizontal="center" wrapText="1"/>
    </xf>
    <xf numFmtId="0" fontId="11" fillId="6" borderId="0" xfId="0" applyFont="1" applyFill="1" applyAlignment="1">
      <alignment horizontal="center" wrapText="1"/>
    </xf>
    <xf numFmtId="0" fontId="14" fillId="7" borderId="0" xfId="0" applyFont="1" applyFill="1" applyAlignment="1">
      <alignment horizontal="center" wrapText="1"/>
    </xf>
  </cellXfs>
  <cellStyles count="3">
    <cellStyle name="Currency" xfId="2" builtinId="4"/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8</xdr:row>
      <xdr:rowOff>0</xdr:rowOff>
    </xdr:from>
    <xdr:to>
      <xdr:col>9</xdr:col>
      <xdr:colOff>457200</xdr:colOff>
      <xdr:row>13</xdr:row>
      <xdr:rowOff>142875</xdr:rowOff>
    </xdr:to>
    <xdr:cxnSp macro="">
      <xdr:nvCxnSpPr>
        <xdr:cNvPr id="3" name="Straight Arrow Connector 2"/>
        <xdr:cNvCxnSpPr/>
      </xdr:nvCxnSpPr>
      <xdr:spPr>
        <a:xfrm flipH="1">
          <a:off x="8267700" y="1285875"/>
          <a:ext cx="1323975" cy="3190875"/>
        </a:xfrm>
        <a:prstGeom prst="straightConnector1">
          <a:avLst/>
        </a:prstGeom>
        <a:ln>
          <a:tailEnd type="triangle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4</xdr:row>
      <xdr:rowOff>104775</xdr:rowOff>
    </xdr:from>
    <xdr:to>
      <xdr:col>9</xdr:col>
      <xdr:colOff>171450</xdr:colOff>
      <xdr:row>15</xdr:row>
      <xdr:rowOff>66675</xdr:rowOff>
    </xdr:to>
    <xdr:cxnSp macro="">
      <xdr:nvCxnSpPr>
        <xdr:cNvPr id="5" name="Straight Arrow Connector 4"/>
        <xdr:cNvCxnSpPr/>
      </xdr:nvCxnSpPr>
      <xdr:spPr>
        <a:xfrm flipH="1">
          <a:off x="8477250" y="762000"/>
          <a:ext cx="828675" cy="3943350"/>
        </a:xfrm>
        <a:prstGeom prst="straightConnector1">
          <a:avLst/>
        </a:prstGeom>
        <a:ln>
          <a:tailEnd type="triangle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</xdr:row>
      <xdr:rowOff>95250</xdr:rowOff>
    </xdr:from>
    <xdr:to>
      <xdr:col>9</xdr:col>
      <xdr:colOff>828675</xdr:colOff>
      <xdr:row>18</xdr:row>
      <xdr:rowOff>76200</xdr:rowOff>
    </xdr:to>
    <xdr:cxnSp macro="">
      <xdr:nvCxnSpPr>
        <xdr:cNvPr id="7" name="Straight Arrow Connector 6"/>
        <xdr:cNvCxnSpPr/>
      </xdr:nvCxnSpPr>
      <xdr:spPr>
        <a:xfrm flipH="1">
          <a:off x="8448675" y="904875"/>
          <a:ext cx="1514475" cy="42672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9</xdr:col>
      <xdr:colOff>723900</xdr:colOff>
      <xdr:row>2</xdr:row>
      <xdr:rowOff>247650</xdr:rowOff>
    </xdr:from>
    <xdr:to>
      <xdr:col>10</xdr:col>
      <xdr:colOff>990600</xdr:colOff>
      <xdr:row>12</xdr:row>
      <xdr:rowOff>114300</xdr:rowOff>
    </xdr:to>
    <xdr:cxnSp macro="">
      <xdr:nvCxnSpPr>
        <xdr:cNvPr id="9" name="Straight Arrow Connector 8"/>
        <xdr:cNvCxnSpPr/>
      </xdr:nvCxnSpPr>
      <xdr:spPr>
        <a:xfrm flipH="1">
          <a:off x="9858375" y="809625"/>
          <a:ext cx="1171575" cy="1914525"/>
        </a:xfrm>
        <a:prstGeom prst="straightConnector1">
          <a:avLst/>
        </a:prstGeom>
        <a:ln>
          <a:tailEnd type="triangle"/>
        </a:ln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6" sqref="F6"/>
    </sheetView>
  </sheetViews>
  <sheetFormatPr defaultColWidth="11.42578125" defaultRowHeight="13.5" customHeight="1" x14ac:dyDescent="0.2"/>
  <cols>
    <col min="1" max="1" width="13.28515625" customWidth="1"/>
    <col min="2" max="2" width="20" customWidth="1"/>
    <col min="3" max="3" width="17" customWidth="1"/>
    <col min="4" max="4" width="20.85546875" customWidth="1"/>
  </cols>
  <sheetData>
    <row r="1" spans="1:4" ht="18" x14ac:dyDescent="0.25">
      <c r="A1" s="8" t="s">
        <v>6</v>
      </c>
      <c r="B1" s="8"/>
    </row>
    <row r="2" spans="1:4" ht="12" x14ac:dyDescent="0.2">
      <c r="A2" s="62"/>
      <c r="B2" s="63"/>
    </row>
    <row r="3" spans="1:4" ht="13.5" customHeight="1" x14ac:dyDescent="0.2">
      <c r="B3" t="s">
        <v>9</v>
      </c>
      <c r="C3" t="s">
        <v>7</v>
      </c>
      <c r="D3" t="s">
        <v>8</v>
      </c>
    </row>
    <row r="4" spans="1:4" s="1" customFormat="1" ht="12" x14ac:dyDescent="0.2">
      <c r="A4" s="6" t="s">
        <v>0</v>
      </c>
      <c r="B4" s="7" t="s">
        <v>1</v>
      </c>
      <c r="C4" s="7" t="s">
        <v>1</v>
      </c>
      <c r="D4" s="7" t="s">
        <v>1</v>
      </c>
    </row>
    <row r="5" spans="1:4" ht="12" x14ac:dyDescent="0.2">
      <c r="A5" s="2" t="s">
        <v>2</v>
      </c>
      <c r="B5" s="3">
        <v>191</v>
      </c>
      <c r="C5">
        <f>23</f>
        <v>23</v>
      </c>
      <c r="D5">
        <v>28</v>
      </c>
    </row>
    <row r="6" spans="1:4" ht="12" x14ac:dyDescent="0.2">
      <c r="A6" s="2" t="s">
        <v>3</v>
      </c>
      <c r="B6" s="3">
        <v>39</v>
      </c>
      <c r="C6">
        <f>9+3+2+8+11+56+10</f>
        <v>99</v>
      </c>
      <c r="D6">
        <f>22+43+2+5</f>
        <v>72</v>
      </c>
    </row>
    <row r="7" spans="1:4" ht="12" x14ac:dyDescent="0.2">
      <c r="A7" s="2" t="s">
        <v>4</v>
      </c>
      <c r="B7" s="3">
        <v>94</v>
      </c>
      <c r="C7">
        <f>12+19+77+9+52+46+9+8+10+13+77+11+25+17+14</f>
        <v>399</v>
      </c>
      <c r="D7">
        <f>21+27+43+6+22+18+11+22+15+21+11+158+20</f>
        <v>395</v>
      </c>
    </row>
    <row r="8" spans="1:4" ht="13.5" customHeight="1" x14ac:dyDescent="0.2">
      <c r="A8" s="4" t="s">
        <v>5</v>
      </c>
      <c r="B8" s="5">
        <f>SUM(B5:B7)</f>
        <v>324</v>
      </c>
      <c r="C8" s="5">
        <f>SUM(C5:C7)</f>
        <v>521</v>
      </c>
      <c r="D8" s="5">
        <f>SUM(D5:D7)</f>
        <v>495</v>
      </c>
    </row>
  </sheetData>
  <mergeCells count="1">
    <mergeCell ref="A2:B2"/>
  </mergeCells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E1" workbookViewId="0">
      <selection activeCell="M17" sqref="A1:XFD1048576"/>
    </sheetView>
  </sheetViews>
  <sheetFormatPr defaultRowHeight="12" x14ac:dyDescent="0.2"/>
  <cols>
    <col min="1" max="1" width="16.28515625" customWidth="1"/>
    <col min="2" max="2" width="13.85546875" customWidth="1"/>
    <col min="3" max="3" width="13.42578125" customWidth="1"/>
    <col min="4" max="4" width="11.7109375" customWidth="1"/>
    <col min="5" max="5" width="21.42578125" customWidth="1"/>
    <col min="6" max="6" width="16.5703125" customWidth="1"/>
    <col min="7" max="7" width="22.42578125" customWidth="1"/>
    <col min="8" max="8" width="11" customWidth="1"/>
    <col min="9" max="9" width="10.28515625" customWidth="1"/>
    <col min="10" max="10" width="13.5703125" customWidth="1"/>
    <col min="11" max="11" width="20.42578125" customWidth="1"/>
    <col min="12" max="12" width="11.140625" bestFit="1" customWidth="1"/>
    <col min="13" max="13" width="17.28515625" customWidth="1"/>
    <col min="14" max="14" width="12.28515625" customWidth="1"/>
    <col min="15" max="15" width="10.5703125" customWidth="1"/>
    <col min="16" max="16" width="12.42578125" customWidth="1"/>
    <col min="17" max="17" width="18.42578125" customWidth="1"/>
    <col min="18" max="18" width="15.42578125" customWidth="1"/>
    <col min="19" max="19" width="17" customWidth="1"/>
  </cols>
  <sheetData>
    <row r="1" spans="1:19" ht="20.25" customHeight="1" x14ac:dyDescent="0.3">
      <c r="B1" s="65" t="s">
        <v>21</v>
      </c>
      <c r="C1" s="65"/>
      <c r="D1" s="65"/>
      <c r="E1" s="65"/>
      <c r="F1" s="65"/>
      <c r="G1" s="22"/>
      <c r="H1" s="67" t="s">
        <v>39</v>
      </c>
      <c r="I1" s="67"/>
      <c r="J1" s="67"/>
      <c r="K1" s="67"/>
      <c r="L1" s="60"/>
      <c r="M1" s="24"/>
      <c r="N1" s="66" t="s">
        <v>20</v>
      </c>
      <c r="O1" s="66"/>
      <c r="P1" s="66"/>
      <c r="Q1" s="66"/>
      <c r="R1" s="66"/>
      <c r="S1" s="25"/>
    </row>
    <row r="2" spans="1:19" ht="24" customHeight="1" x14ac:dyDescent="0.3">
      <c r="B2" s="30"/>
      <c r="C2" s="30"/>
      <c r="D2" s="30"/>
      <c r="E2" s="30"/>
      <c r="F2" s="30"/>
      <c r="G2" s="30"/>
      <c r="H2" s="64" t="s">
        <v>38</v>
      </c>
      <c r="I2" s="64"/>
      <c r="J2" s="64"/>
      <c r="K2" s="64"/>
      <c r="L2" s="58"/>
      <c r="M2" s="58"/>
      <c r="N2" s="31"/>
      <c r="O2" s="31"/>
      <c r="P2" s="31"/>
      <c r="Q2" s="31"/>
      <c r="R2" s="31"/>
      <c r="S2" s="25"/>
    </row>
    <row r="3" spans="1:19" ht="24" customHeight="1" x14ac:dyDescent="0.3">
      <c r="B3" s="30"/>
      <c r="C3" s="30"/>
      <c r="D3" s="30"/>
      <c r="E3" s="30"/>
      <c r="F3" s="30"/>
      <c r="G3" s="30"/>
      <c r="H3" s="64" t="s">
        <v>40</v>
      </c>
      <c r="I3" s="64"/>
      <c r="J3" s="64"/>
      <c r="K3" s="61">
        <f xml:space="preserve"> 113096*0.15</f>
        <v>16964.399999999998</v>
      </c>
      <c r="L3" s="58"/>
      <c r="M3" s="58"/>
      <c r="N3" s="31"/>
      <c r="O3" s="31"/>
      <c r="P3" s="31"/>
      <c r="Q3" s="31"/>
      <c r="R3" s="31"/>
      <c r="S3" s="25"/>
    </row>
    <row r="4" spans="1:19" s="34" customFormat="1" ht="40.15" customHeight="1" x14ac:dyDescent="0.2">
      <c r="B4" s="35" t="s">
        <v>15</v>
      </c>
      <c r="C4" s="35" t="s">
        <v>16</v>
      </c>
      <c r="D4" s="36" t="s">
        <v>23</v>
      </c>
      <c r="E4" s="35" t="s">
        <v>24</v>
      </c>
      <c r="F4" s="35" t="s">
        <v>17</v>
      </c>
      <c r="G4" s="35" t="s">
        <v>22</v>
      </c>
      <c r="H4" s="35" t="s">
        <v>15</v>
      </c>
      <c r="I4" s="35" t="s">
        <v>16</v>
      </c>
      <c r="J4" s="36" t="s">
        <v>23</v>
      </c>
      <c r="K4" s="35" t="s">
        <v>25</v>
      </c>
      <c r="L4" s="35" t="s">
        <v>17</v>
      </c>
      <c r="M4" s="35" t="s">
        <v>22</v>
      </c>
      <c r="N4" s="35" t="s">
        <v>15</v>
      </c>
      <c r="O4" s="35" t="s">
        <v>16</v>
      </c>
      <c r="P4" s="36" t="s">
        <v>23</v>
      </c>
      <c r="Q4" s="35" t="s">
        <v>25</v>
      </c>
      <c r="R4" s="35" t="s">
        <v>17</v>
      </c>
      <c r="S4" s="35" t="s">
        <v>22</v>
      </c>
    </row>
    <row r="5" spans="1:19" x14ac:dyDescent="0.2">
      <c r="A5" s="16" t="s">
        <v>11</v>
      </c>
      <c r="B5" s="16">
        <v>906</v>
      </c>
      <c r="C5" s="16">
        <v>191</v>
      </c>
      <c r="D5" s="16">
        <f>(C5*100)/B5</f>
        <v>21.081677704194259</v>
      </c>
      <c r="E5" s="32">
        <v>8135</v>
      </c>
      <c r="F5" s="32">
        <v>1300</v>
      </c>
      <c r="G5" s="23">
        <f>(D5*100)/$F$8</f>
        <v>0.14102399962669249</v>
      </c>
      <c r="H5" s="16">
        <v>975</v>
      </c>
      <c r="I5" s="16">
        <v>23</v>
      </c>
      <c r="J5" s="16">
        <f>(I5*100)/H5</f>
        <v>2.358974358974359</v>
      </c>
      <c r="K5" s="37"/>
      <c r="L5" s="32">
        <v>4500</v>
      </c>
      <c r="M5" s="23">
        <f>(J5*100)/$L$8</f>
        <v>8.5008085008085009E-3</v>
      </c>
      <c r="N5" s="16">
        <v>963</v>
      </c>
      <c r="O5" s="16">
        <v>28</v>
      </c>
      <c r="P5" s="16">
        <f>(O5*100)/N5</f>
        <v>2.9075804776739358</v>
      </c>
      <c r="Q5" s="37"/>
      <c r="R5" s="46"/>
      <c r="S5" s="23" t="e">
        <f>(P5*100)/$R$8</f>
        <v>#DIV/0!</v>
      </c>
    </row>
    <row r="6" spans="1:19" x14ac:dyDescent="0.2">
      <c r="A6" s="16" t="s">
        <v>12</v>
      </c>
      <c r="B6" s="16">
        <v>3521</v>
      </c>
      <c r="C6" s="16">
        <v>39</v>
      </c>
      <c r="D6" s="16">
        <f>(C6*100)/B6</f>
        <v>1.1076398750355012</v>
      </c>
      <c r="E6" s="37"/>
      <c r="F6" s="32">
        <v>3412</v>
      </c>
      <c r="G6" s="23">
        <f>(D6*100)/$F$8</f>
        <v>7.4094579907385194E-3</v>
      </c>
      <c r="H6" s="16">
        <v>3623</v>
      </c>
      <c r="I6" s="16">
        <v>99</v>
      </c>
      <c r="J6" s="16">
        <f>(I6*100)/H6</f>
        <v>2.732542092188794</v>
      </c>
      <c r="K6" s="37"/>
      <c r="L6" s="32">
        <v>8000</v>
      </c>
      <c r="M6" s="23">
        <f>(J6*100)/$L$8</f>
        <v>9.8469985304100675E-3</v>
      </c>
      <c r="N6" s="16">
        <v>3705</v>
      </c>
      <c r="O6" s="16">
        <v>72</v>
      </c>
      <c r="P6" s="16">
        <f>(O6*100)/N6</f>
        <v>1.9433198380566801</v>
      </c>
      <c r="Q6" s="37"/>
      <c r="R6" s="46"/>
      <c r="S6" s="23" t="e">
        <f>(P6*100)/$R$8</f>
        <v>#DIV/0!</v>
      </c>
    </row>
    <row r="7" spans="1:19" s="28" customFormat="1" ht="12.75" thickBot="1" x14ac:dyDescent="0.25">
      <c r="A7" s="26" t="s">
        <v>13</v>
      </c>
      <c r="B7" s="26">
        <v>7204</v>
      </c>
      <c r="C7" s="26">
        <v>94</v>
      </c>
      <c r="D7" s="26">
        <f>(C7*100)/B7</f>
        <v>1.3048306496390893</v>
      </c>
      <c r="E7" s="38"/>
      <c r="F7" s="33">
        <v>10237</v>
      </c>
      <c r="G7" s="27">
        <f>(D7*100)/$F$8</f>
        <v>8.7285480610013334E-3</v>
      </c>
      <c r="H7" s="26">
        <v>7512</v>
      </c>
      <c r="I7" s="26">
        <v>399</v>
      </c>
      <c r="J7" s="26">
        <f>(I7*100)/H7</f>
        <v>5.3115015974440896</v>
      </c>
      <c r="K7" s="33">
        <v>28274</v>
      </c>
      <c r="L7" s="33">
        <v>15250</v>
      </c>
      <c r="M7" s="27">
        <f>(J7*100)/$L$8</f>
        <v>1.9140546297095818E-2</v>
      </c>
      <c r="N7" s="26">
        <v>7580</v>
      </c>
      <c r="O7" s="26">
        <v>395</v>
      </c>
      <c r="P7" s="26">
        <f>(O7*100)/N7</f>
        <v>5.211081794195251</v>
      </c>
      <c r="Q7" s="33">
        <v>38000</v>
      </c>
      <c r="R7" s="47"/>
      <c r="S7" s="27" t="e">
        <f>(P7*100)/$R$8</f>
        <v>#DIV/0!</v>
      </c>
    </row>
    <row r="8" spans="1:19" ht="12.75" thickTop="1" x14ac:dyDescent="0.2">
      <c r="A8" s="43" t="s">
        <v>26</v>
      </c>
      <c r="B8" s="44">
        <f>SUM(B5:B7)</f>
        <v>11631</v>
      </c>
      <c r="C8" s="44">
        <f>SUM(C5:C7)</f>
        <v>324</v>
      </c>
      <c r="D8" s="44">
        <f>SUM(D5:D7)</f>
        <v>23.494148228868852</v>
      </c>
      <c r="E8" s="41">
        <f>SUM(E5:E7)</f>
        <v>8135</v>
      </c>
      <c r="F8" s="42">
        <f>SUM(F5:F7)</f>
        <v>14949</v>
      </c>
      <c r="J8" s="57">
        <f>SUM(J5:J7)</f>
        <v>10.403018048607244</v>
      </c>
      <c r="K8" s="42">
        <f>SUM(K5:K7)</f>
        <v>28274</v>
      </c>
      <c r="L8" s="42">
        <f>SUM(L5:L7)</f>
        <v>27750</v>
      </c>
      <c r="Q8" s="42">
        <f>SUM(Q5:Q7)</f>
        <v>38000</v>
      </c>
      <c r="R8" s="42">
        <f>SUM(R5:R7)</f>
        <v>0</v>
      </c>
    </row>
    <row r="9" spans="1:19" x14ac:dyDescent="0.2">
      <c r="A9" s="29" t="s">
        <v>27</v>
      </c>
      <c r="F9" s="40">
        <f>SUM(E8:F8)</f>
        <v>23084</v>
      </c>
      <c r="L9" s="45"/>
      <c r="R9" s="45">
        <f>SUM(+Q8)</f>
        <v>38000</v>
      </c>
    </row>
    <row r="10" spans="1:19" x14ac:dyDescent="0.2">
      <c r="A10" s="29" t="s">
        <v>28</v>
      </c>
      <c r="E10" s="48">
        <f>E8*4</f>
        <v>32540</v>
      </c>
      <c r="F10" s="16"/>
      <c r="J10" s="49"/>
      <c r="K10" s="59"/>
      <c r="P10" s="49"/>
      <c r="Q10" s="48">
        <f>Q8*4</f>
        <v>152000</v>
      </c>
    </row>
    <row r="11" spans="1:19" x14ac:dyDescent="0.2">
      <c r="E11" s="16" t="s">
        <v>29</v>
      </c>
    </row>
    <row r="14" spans="1:19" x14ac:dyDescent="0.2">
      <c r="J14" s="39">
        <f>113096*0.15</f>
        <v>16964.399999999998</v>
      </c>
      <c r="K14" s="16"/>
      <c r="L14" s="16"/>
    </row>
    <row r="15" spans="1:19" x14ac:dyDescent="0.2">
      <c r="H15" s="52">
        <v>10.4</v>
      </c>
      <c r="I15" s="52">
        <v>100</v>
      </c>
    </row>
    <row r="16" spans="1:19" x14ac:dyDescent="0.2">
      <c r="H16" s="52">
        <v>2.35</v>
      </c>
      <c r="I16" s="52">
        <f>(H16*I15)/H15</f>
        <v>22.596153846153847</v>
      </c>
      <c r="J16" s="39">
        <f>(J14*I16)/100</f>
        <v>3833.3019230769223</v>
      </c>
      <c r="K16" s="16" t="s">
        <v>11</v>
      </c>
    </row>
    <row r="17" spans="1:11" x14ac:dyDescent="0.2">
      <c r="H17" s="52"/>
      <c r="I17" s="52"/>
    </row>
    <row r="18" spans="1:11" x14ac:dyDescent="0.2">
      <c r="H18" s="52">
        <v>10.4</v>
      </c>
      <c r="I18" s="52">
        <v>100</v>
      </c>
    </row>
    <row r="19" spans="1:11" x14ac:dyDescent="0.2">
      <c r="H19" s="52">
        <v>2.73</v>
      </c>
      <c r="I19" s="52">
        <f>(H19*I18)/H18</f>
        <v>26.25</v>
      </c>
      <c r="J19" s="39">
        <f>(J14*I19)/100</f>
        <v>4453.1549999999997</v>
      </c>
      <c r="K19" s="16" t="s">
        <v>12</v>
      </c>
    </row>
    <row r="20" spans="1:11" x14ac:dyDescent="0.2">
      <c r="H20" s="52"/>
      <c r="I20" s="52"/>
    </row>
    <row r="21" spans="1:11" x14ac:dyDescent="0.2">
      <c r="H21" s="52">
        <v>10.4</v>
      </c>
      <c r="I21" s="52">
        <v>100</v>
      </c>
    </row>
    <row r="22" spans="1:11" x14ac:dyDescent="0.2">
      <c r="H22" s="52">
        <v>5.31</v>
      </c>
      <c r="I22" s="52">
        <f>(H22*I21)/H21</f>
        <v>51.057692307692307</v>
      </c>
      <c r="J22" s="39">
        <f>(J14*I22)/100</f>
        <v>8661.6311538461523</v>
      </c>
      <c r="K22" s="16" t="s">
        <v>13</v>
      </c>
    </row>
    <row r="28" spans="1:1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</row>
    <row r="29" spans="1:11" x14ac:dyDescent="0.2">
      <c r="A29" s="52"/>
      <c r="B29" s="53" t="s">
        <v>31</v>
      </c>
      <c r="C29" s="52"/>
      <c r="D29" s="53" t="s">
        <v>30</v>
      </c>
      <c r="E29" s="54">
        <f>E10-F9</f>
        <v>9456</v>
      </c>
      <c r="F29" s="52"/>
      <c r="G29" s="52"/>
      <c r="H29" s="52"/>
      <c r="I29" s="52"/>
      <c r="J29" s="52"/>
    </row>
    <row r="30" spans="1:11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</row>
    <row r="31" spans="1:11" x14ac:dyDescent="0.2">
      <c r="A31" s="52"/>
      <c r="B31" s="52"/>
      <c r="C31" s="52"/>
      <c r="D31" s="52"/>
      <c r="E31" s="52"/>
      <c r="F31" s="53" t="s">
        <v>33</v>
      </c>
      <c r="G31" s="53" t="s">
        <v>34</v>
      </c>
      <c r="H31" s="53" t="s">
        <v>35</v>
      </c>
      <c r="I31" s="52"/>
      <c r="J31" s="52"/>
    </row>
    <row r="32" spans="1:11" x14ac:dyDescent="0.2">
      <c r="A32" s="52"/>
      <c r="B32" s="52"/>
      <c r="C32" s="52"/>
      <c r="D32" s="52"/>
      <c r="E32" s="54">
        <f>+E10</f>
        <v>32540</v>
      </c>
      <c r="F32" s="54">
        <f>E32/2</f>
        <v>16270</v>
      </c>
      <c r="G32" s="54">
        <f>E32*0.35</f>
        <v>11389</v>
      </c>
      <c r="H32" s="54">
        <f>E32*0.15</f>
        <v>4881</v>
      </c>
      <c r="I32" s="52"/>
      <c r="J32" s="52"/>
    </row>
    <row r="33" spans="1:10" x14ac:dyDescent="0.2">
      <c r="A33" s="52"/>
      <c r="B33" s="52"/>
      <c r="C33" s="52"/>
      <c r="D33" s="52"/>
      <c r="E33" s="52">
        <v>0.15</v>
      </c>
      <c r="F33" s="52"/>
      <c r="G33" s="52"/>
      <c r="H33" s="53" t="s">
        <v>36</v>
      </c>
      <c r="I33" s="52"/>
      <c r="J33" s="52"/>
    </row>
    <row r="34" spans="1:10" x14ac:dyDescent="0.2">
      <c r="A34" s="52"/>
      <c r="B34" s="52"/>
      <c r="C34" s="52"/>
      <c r="D34" s="52"/>
      <c r="E34" s="54">
        <f>E33*E32</f>
        <v>4881</v>
      </c>
      <c r="F34" s="53" t="s">
        <v>32</v>
      </c>
      <c r="G34" s="52"/>
      <c r="H34" s="52"/>
      <c r="I34" s="52"/>
      <c r="J34" s="52"/>
    </row>
    <row r="35" spans="1:10" x14ac:dyDescent="0.2">
      <c r="A35" s="52"/>
      <c r="B35" s="52"/>
      <c r="C35" s="52"/>
      <c r="D35" s="52"/>
      <c r="E35" s="52">
        <v>941</v>
      </c>
      <c r="F35" s="53" t="s">
        <v>11</v>
      </c>
      <c r="G35" s="52"/>
      <c r="H35" s="55">
        <v>0.89700000000000002</v>
      </c>
      <c r="I35" s="53" t="s">
        <v>11</v>
      </c>
      <c r="J35" s="54">
        <f>H32*0.897</f>
        <v>4378.2570000000005</v>
      </c>
    </row>
    <row r="36" spans="1:10" x14ac:dyDescent="0.2">
      <c r="A36" s="52"/>
      <c r="B36" s="52"/>
      <c r="C36" s="52"/>
      <c r="D36" s="52"/>
      <c r="E36" s="52"/>
      <c r="F36" s="52"/>
      <c r="G36" s="52"/>
      <c r="H36" s="55">
        <v>4.6800000000000001E-2</v>
      </c>
      <c r="I36" s="53" t="s">
        <v>12</v>
      </c>
      <c r="J36" s="54">
        <f>H32*0.0468</f>
        <v>228.4308</v>
      </c>
    </row>
    <row r="37" spans="1:10" x14ac:dyDescent="0.2">
      <c r="A37" s="52"/>
      <c r="B37" s="52"/>
      <c r="C37" s="52">
        <v>23.494</v>
      </c>
      <c r="D37" s="52">
        <v>100</v>
      </c>
      <c r="E37" s="52"/>
      <c r="F37" s="52"/>
      <c r="G37" s="52"/>
      <c r="H37" s="55">
        <v>5.5300000000000002E-2</v>
      </c>
      <c r="I37" s="53" t="s">
        <v>13</v>
      </c>
      <c r="J37" s="54">
        <f>H32*0.0553</f>
        <v>269.91930000000002</v>
      </c>
    </row>
    <row r="38" spans="1:10" x14ac:dyDescent="0.2">
      <c r="A38" s="52"/>
      <c r="B38" s="52"/>
      <c r="C38" s="52">
        <v>21.08</v>
      </c>
      <c r="D38" s="52">
        <f>(C38*D37)/C37</f>
        <v>89.725036179450072</v>
      </c>
      <c r="E38" s="53" t="s">
        <v>11</v>
      </c>
      <c r="F38" s="52"/>
      <c r="G38" s="52"/>
      <c r="H38" s="52"/>
      <c r="I38" s="52"/>
      <c r="J38" s="54">
        <f>SUM(J35:J37)</f>
        <v>4876.6071000000011</v>
      </c>
    </row>
    <row r="39" spans="1:10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</row>
    <row r="40" spans="1:10" x14ac:dyDescent="0.2">
      <c r="A40" s="52"/>
      <c r="B40" s="52"/>
      <c r="C40" s="52">
        <v>23.494</v>
      </c>
      <c r="D40" s="52">
        <v>100</v>
      </c>
      <c r="E40" s="52"/>
      <c r="F40" s="52"/>
      <c r="G40" s="52"/>
      <c r="H40" s="52"/>
      <c r="I40" s="52"/>
      <c r="J40" s="52"/>
    </row>
    <row r="41" spans="1:10" x14ac:dyDescent="0.2">
      <c r="A41" s="52"/>
      <c r="B41" s="52"/>
      <c r="C41" s="52">
        <v>1.1000000000000001</v>
      </c>
      <c r="D41" s="52">
        <f>(C41*D40)/C40</f>
        <v>4.6820464799523291</v>
      </c>
      <c r="E41" s="52"/>
      <c r="F41" s="52"/>
      <c r="G41" s="52"/>
      <c r="H41" s="52"/>
      <c r="I41" s="52"/>
      <c r="J41" s="52"/>
    </row>
    <row r="42" spans="1:10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</row>
    <row r="43" spans="1:10" x14ac:dyDescent="0.2">
      <c r="A43" s="52"/>
      <c r="B43" s="52"/>
      <c r="C43" s="52">
        <v>23.494</v>
      </c>
      <c r="D43" s="52">
        <v>100</v>
      </c>
      <c r="E43" s="52"/>
      <c r="F43" s="52"/>
      <c r="G43" s="56" t="s">
        <v>37</v>
      </c>
      <c r="I43" s="52"/>
      <c r="J43" s="52"/>
    </row>
    <row r="44" spans="1:10" x14ac:dyDescent="0.2">
      <c r="A44" s="52"/>
      <c r="B44" s="52"/>
      <c r="C44" s="52">
        <v>1.3</v>
      </c>
      <c r="D44" s="52">
        <f>(C44*D43)/C43</f>
        <v>5.5333276581254793</v>
      </c>
      <c r="E44" s="52"/>
      <c r="F44" s="52"/>
      <c r="G44" s="52"/>
      <c r="H44" s="52"/>
      <c r="I44" s="52"/>
      <c r="J44" s="52"/>
    </row>
  </sheetData>
  <mergeCells count="5">
    <mergeCell ref="H3:J3"/>
    <mergeCell ref="B1:F1"/>
    <mergeCell ref="N1:R1"/>
    <mergeCell ref="H2:K2"/>
    <mergeCell ref="H1:K1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GridLines="0" tabSelected="1" workbookViewId="0">
      <selection activeCell="P18" sqref="P18"/>
    </sheetView>
  </sheetViews>
  <sheetFormatPr defaultRowHeight="12" x14ac:dyDescent="0.2"/>
  <cols>
    <col min="1" max="1" width="16.28515625" customWidth="1"/>
    <col min="2" max="2" width="13.85546875" customWidth="1"/>
    <col min="3" max="3" width="13.42578125" customWidth="1"/>
    <col min="4" max="4" width="11.7109375" customWidth="1"/>
    <col min="5" max="5" width="21.42578125" customWidth="1"/>
    <col min="6" max="6" width="16.5703125" customWidth="1"/>
    <col min="7" max="7" width="22.42578125" customWidth="1"/>
    <col min="8" max="8" width="11" customWidth="1"/>
    <col min="9" max="9" width="10.28515625" customWidth="1"/>
    <col min="10" max="10" width="13.5703125" customWidth="1"/>
    <col min="11" max="11" width="20.42578125" customWidth="1"/>
    <col min="12" max="12" width="11.140625" bestFit="1" customWidth="1"/>
    <col min="13" max="13" width="17.28515625" customWidth="1"/>
    <col min="14" max="14" width="12.28515625" customWidth="1"/>
    <col min="15" max="15" width="10.5703125" customWidth="1"/>
    <col min="16" max="16" width="12.42578125" customWidth="1"/>
    <col min="17" max="17" width="18.42578125" customWidth="1"/>
    <col min="18" max="18" width="15.42578125" customWidth="1"/>
    <col min="19" max="19" width="17" customWidth="1"/>
  </cols>
  <sheetData>
    <row r="1" spans="1:19" ht="20.25" customHeight="1" x14ac:dyDescent="0.3">
      <c r="B1" s="65" t="s">
        <v>21</v>
      </c>
      <c r="C1" s="65"/>
      <c r="D1" s="65"/>
      <c r="E1" s="65"/>
      <c r="F1" s="65"/>
      <c r="G1" s="50"/>
      <c r="H1" s="67" t="s">
        <v>39</v>
      </c>
      <c r="I1" s="67"/>
      <c r="J1" s="67"/>
      <c r="K1" s="67"/>
      <c r="L1" s="60"/>
      <c r="M1" s="24"/>
      <c r="N1" s="66" t="s">
        <v>20</v>
      </c>
      <c r="O1" s="66"/>
      <c r="P1" s="66"/>
      <c r="Q1" s="66"/>
      <c r="R1" s="66"/>
      <c r="S1" s="25"/>
    </row>
    <row r="2" spans="1:19" ht="24" customHeight="1" x14ac:dyDescent="0.3">
      <c r="B2" s="50"/>
      <c r="C2" s="50"/>
      <c r="D2" s="50"/>
      <c r="E2" s="50"/>
      <c r="F2" s="50"/>
      <c r="G2" s="50"/>
      <c r="H2" s="64" t="s">
        <v>38</v>
      </c>
      <c r="I2" s="64"/>
      <c r="J2" s="64"/>
      <c r="K2" s="64"/>
      <c r="L2" s="58"/>
      <c r="M2" s="58"/>
      <c r="N2" s="51"/>
      <c r="O2" s="51"/>
      <c r="P2" s="51"/>
      <c r="Q2" s="51"/>
      <c r="R2" s="51"/>
      <c r="S2" s="25"/>
    </row>
    <row r="3" spans="1:19" ht="24" customHeight="1" x14ac:dyDescent="0.3">
      <c r="B3" s="50"/>
      <c r="C3" s="50"/>
      <c r="D3" s="50"/>
      <c r="E3" s="50"/>
      <c r="F3" s="50"/>
      <c r="G3" s="50"/>
      <c r="H3" s="64" t="s">
        <v>40</v>
      </c>
      <c r="I3" s="64"/>
      <c r="J3" s="64"/>
      <c r="K3" s="61">
        <f xml:space="preserve"> 113096*0.15</f>
        <v>16964.399999999998</v>
      </c>
      <c r="L3" s="58"/>
      <c r="M3" s="58"/>
      <c r="N3" s="51"/>
      <c r="O3" s="51"/>
      <c r="P3" s="51"/>
      <c r="Q3" s="51"/>
      <c r="R3" s="51"/>
      <c r="S3" s="25"/>
    </row>
    <row r="4" spans="1:19" s="34" customFormat="1" ht="40.15" customHeight="1" x14ac:dyDescent="0.2">
      <c r="B4" s="35" t="s">
        <v>15</v>
      </c>
      <c r="C4" s="35" t="s">
        <v>16</v>
      </c>
      <c r="D4" s="36" t="s">
        <v>23</v>
      </c>
      <c r="E4" s="35" t="s">
        <v>24</v>
      </c>
      <c r="F4" s="35" t="s">
        <v>17</v>
      </c>
      <c r="G4" s="35" t="s">
        <v>22</v>
      </c>
      <c r="H4" s="35" t="s">
        <v>15</v>
      </c>
      <c r="I4" s="35" t="s">
        <v>16</v>
      </c>
      <c r="J4" s="36" t="s">
        <v>23</v>
      </c>
      <c r="K4" s="35" t="s">
        <v>25</v>
      </c>
      <c r="L4" s="35" t="s">
        <v>17</v>
      </c>
      <c r="M4" s="35" t="s">
        <v>22</v>
      </c>
      <c r="N4" s="35" t="s">
        <v>15</v>
      </c>
      <c r="O4" s="35" t="s">
        <v>16</v>
      </c>
      <c r="P4" s="36" t="s">
        <v>23</v>
      </c>
      <c r="Q4" s="35" t="s">
        <v>25</v>
      </c>
      <c r="R4" s="35" t="s">
        <v>17</v>
      </c>
      <c r="S4" s="35" t="s">
        <v>22</v>
      </c>
    </row>
    <row r="5" spans="1:19" x14ac:dyDescent="0.2">
      <c r="A5" s="16" t="s">
        <v>11</v>
      </c>
      <c r="B5" s="16">
        <v>906</v>
      </c>
      <c r="C5" s="16">
        <v>191</v>
      </c>
      <c r="D5" s="16">
        <f>(C5*100)/B5</f>
        <v>21.081677704194259</v>
      </c>
      <c r="E5" s="32">
        <v>8135</v>
      </c>
      <c r="F5" s="32">
        <v>1300</v>
      </c>
      <c r="G5" s="23">
        <f>(D5*100)/$F$8</f>
        <v>0.14102399962669249</v>
      </c>
      <c r="H5" s="16">
        <v>975</v>
      </c>
      <c r="I5" s="16">
        <v>23</v>
      </c>
      <c r="J5" s="16">
        <f>(I5*100)/H5</f>
        <v>2.358974358974359</v>
      </c>
      <c r="K5" s="37"/>
      <c r="L5" s="32">
        <v>4500</v>
      </c>
      <c r="M5" s="23">
        <f>(J5*100)/$L$8</f>
        <v>8.5008085008085009E-3</v>
      </c>
      <c r="N5" s="16">
        <v>963</v>
      </c>
      <c r="O5" s="16">
        <v>28</v>
      </c>
      <c r="P5" s="16">
        <f>(O5*100)/N5</f>
        <v>2.9075804776739358</v>
      </c>
      <c r="Q5" s="37"/>
      <c r="R5" s="46"/>
      <c r="S5" s="23" t="e">
        <f>(P5*100)/$R$8</f>
        <v>#DIV/0!</v>
      </c>
    </row>
    <row r="6" spans="1:19" x14ac:dyDescent="0.2">
      <c r="A6" s="16" t="s">
        <v>12</v>
      </c>
      <c r="B6" s="16">
        <v>3521</v>
      </c>
      <c r="C6" s="16">
        <v>39</v>
      </c>
      <c r="D6" s="16">
        <f>(C6*100)/B6</f>
        <v>1.1076398750355012</v>
      </c>
      <c r="E6" s="37"/>
      <c r="F6" s="32">
        <v>3412</v>
      </c>
      <c r="G6" s="23">
        <f>(D6*100)/$F$8</f>
        <v>7.4094579907385194E-3</v>
      </c>
      <c r="H6" s="16">
        <v>3623</v>
      </c>
      <c r="I6" s="16">
        <v>99</v>
      </c>
      <c r="J6" s="16">
        <f>(I6*100)/H6</f>
        <v>2.732542092188794</v>
      </c>
      <c r="K6" s="37"/>
      <c r="L6" s="32">
        <v>8000</v>
      </c>
      <c r="M6" s="23">
        <f>(J6*100)/$L$8</f>
        <v>9.8469985304100675E-3</v>
      </c>
      <c r="N6" s="16">
        <v>3705</v>
      </c>
      <c r="O6" s="16">
        <v>72</v>
      </c>
      <c r="P6" s="16">
        <f>(O6*100)/N6</f>
        <v>1.9433198380566801</v>
      </c>
      <c r="Q6" s="37"/>
      <c r="R6" s="46"/>
      <c r="S6" s="23" t="e">
        <f>(P6*100)/$R$8</f>
        <v>#DIV/0!</v>
      </c>
    </row>
    <row r="7" spans="1:19" s="28" customFormat="1" ht="12.75" thickBot="1" x14ac:dyDescent="0.25">
      <c r="A7" s="26" t="s">
        <v>13</v>
      </c>
      <c r="B7" s="26">
        <v>7204</v>
      </c>
      <c r="C7" s="26">
        <v>94</v>
      </c>
      <c r="D7" s="26">
        <f>(C7*100)/B7</f>
        <v>1.3048306496390893</v>
      </c>
      <c r="E7" s="38"/>
      <c r="F7" s="33">
        <v>10237</v>
      </c>
      <c r="G7" s="27">
        <f>(D7*100)/$F$8</f>
        <v>8.7285480610013334E-3</v>
      </c>
      <c r="H7" s="26">
        <v>7512</v>
      </c>
      <c r="I7" s="26">
        <v>399</v>
      </c>
      <c r="J7" s="26">
        <f>(I7*100)/H7</f>
        <v>5.3115015974440896</v>
      </c>
      <c r="K7" s="33">
        <v>28274</v>
      </c>
      <c r="L7" s="33">
        <v>15250</v>
      </c>
      <c r="M7" s="27">
        <f>(J7*100)/$L$8</f>
        <v>1.9140546297095818E-2</v>
      </c>
      <c r="N7" s="26">
        <v>7580</v>
      </c>
      <c r="O7" s="26">
        <v>395</v>
      </c>
      <c r="P7" s="26">
        <f>(O7*100)/N7</f>
        <v>5.211081794195251</v>
      </c>
      <c r="Q7" s="33">
        <v>38000</v>
      </c>
      <c r="R7" s="47"/>
      <c r="S7" s="27" t="e">
        <f>(P7*100)/$R$8</f>
        <v>#DIV/0!</v>
      </c>
    </row>
    <row r="8" spans="1:19" ht="12.75" thickTop="1" x14ac:dyDescent="0.2">
      <c r="A8" s="43" t="s">
        <v>26</v>
      </c>
      <c r="B8" s="44">
        <f>SUM(B5:B7)</f>
        <v>11631</v>
      </c>
      <c r="C8" s="44">
        <f>SUM(C5:C7)</f>
        <v>324</v>
      </c>
      <c r="D8" s="44">
        <f>SUM(D5:D7)</f>
        <v>23.494148228868852</v>
      </c>
      <c r="E8" s="41">
        <f>SUM(E5:E7)</f>
        <v>8135</v>
      </c>
      <c r="F8" s="42">
        <f>SUM(F5:F7)</f>
        <v>14949</v>
      </c>
      <c r="J8" s="57">
        <f>SUM(J5:J7)</f>
        <v>10.403018048607244</v>
      </c>
      <c r="K8" s="42">
        <f>SUM(K5:K7)</f>
        <v>28274</v>
      </c>
      <c r="L8" s="42">
        <f>SUM(L5:L7)</f>
        <v>27750</v>
      </c>
      <c r="Q8" s="42">
        <f>SUM(Q5:Q7)</f>
        <v>38000</v>
      </c>
      <c r="R8" s="42">
        <f>SUM(R5:R7)</f>
        <v>0</v>
      </c>
    </row>
    <row r="9" spans="1:19" x14ac:dyDescent="0.2">
      <c r="A9" s="29" t="s">
        <v>27</v>
      </c>
      <c r="F9" s="40">
        <f>SUM(E8:F8)</f>
        <v>23084</v>
      </c>
      <c r="L9" s="45"/>
      <c r="R9" s="45">
        <f>SUM(+Q8)</f>
        <v>38000</v>
      </c>
    </row>
    <row r="10" spans="1:19" x14ac:dyDescent="0.2">
      <c r="A10" s="29" t="s">
        <v>28</v>
      </c>
      <c r="E10" s="48">
        <f>E8*4</f>
        <v>32540</v>
      </c>
      <c r="F10" s="16"/>
      <c r="J10" s="49"/>
      <c r="K10" s="59"/>
      <c r="P10" s="49"/>
      <c r="Q10" s="48">
        <f>Q8*4</f>
        <v>152000</v>
      </c>
    </row>
    <row r="11" spans="1:19" x14ac:dyDescent="0.2">
      <c r="E11" s="16" t="s">
        <v>29</v>
      </c>
    </row>
    <row r="14" spans="1:19" x14ac:dyDescent="0.2">
      <c r="J14" s="39">
        <f>113096*0.15</f>
        <v>16964.399999999998</v>
      </c>
      <c r="K14" s="16"/>
      <c r="L14" s="16"/>
    </row>
    <row r="15" spans="1:19" x14ac:dyDescent="0.2">
      <c r="H15" s="52">
        <v>10.4</v>
      </c>
      <c r="I15" s="52">
        <v>100</v>
      </c>
    </row>
    <row r="16" spans="1:19" x14ac:dyDescent="0.2">
      <c r="H16" s="52">
        <v>2.35</v>
      </c>
      <c r="I16" s="52">
        <f>(H16*I15)/H15</f>
        <v>22.596153846153847</v>
      </c>
      <c r="J16" s="39">
        <f>(J14*I16)/100</f>
        <v>3833.3019230769223</v>
      </c>
      <c r="K16" s="16" t="s">
        <v>11</v>
      </c>
    </row>
    <row r="17" spans="1:11" x14ac:dyDescent="0.2">
      <c r="H17" s="52"/>
      <c r="I17" s="52"/>
    </row>
    <row r="18" spans="1:11" x14ac:dyDescent="0.2">
      <c r="H18" s="52">
        <v>10.4</v>
      </c>
      <c r="I18" s="52">
        <v>100</v>
      </c>
    </row>
    <row r="19" spans="1:11" x14ac:dyDescent="0.2">
      <c r="H19" s="52">
        <v>2.73</v>
      </c>
      <c r="I19" s="52">
        <f>(H19*I18)/H18</f>
        <v>26.25</v>
      </c>
      <c r="J19" s="39">
        <f>(J14*I19)/100</f>
        <v>4453.1549999999997</v>
      </c>
      <c r="K19" s="16" t="s">
        <v>12</v>
      </c>
    </row>
    <row r="20" spans="1:11" x14ac:dyDescent="0.2">
      <c r="H20" s="52"/>
      <c r="I20" s="52"/>
    </row>
    <row r="21" spans="1:11" x14ac:dyDescent="0.2">
      <c r="H21" s="52">
        <v>10.4</v>
      </c>
      <c r="I21" s="52">
        <v>100</v>
      </c>
    </row>
    <row r="22" spans="1:11" x14ac:dyDescent="0.2">
      <c r="H22" s="52">
        <v>5.31</v>
      </c>
      <c r="I22" s="52">
        <f>(H22*I21)/H21</f>
        <v>51.057692307692307</v>
      </c>
      <c r="J22" s="39">
        <f>(J14*I22)/100</f>
        <v>8661.6311538461523</v>
      </c>
      <c r="K22" s="16" t="s">
        <v>13</v>
      </c>
    </row>
    <row r="28" spans="1:1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</row>
    <row r="29" spans="1:11" x14ac:dyDescent="0.2">
      <c r="A29" s="52"/>
      <c r="B29" s="53" t="s">
        <v>31</v>
      </c>
      <c r="C29" s="52"/>
      <c r="D29" s="53" t="s">
        <v>30</v>
      </c>
      <c r="E29" s="54">
        <f>E10-F9</f>
        <v>9456</v>
      </c>
      <c r="F29" s="52"/>
      <c r="G29" s="52"/>
      <c r="H29" s="52"/>
      <c r="I29" s="52"/>
      <c r="J29" s="52"/>
    </row>
    <row r="30" spans="1:11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</row>
    <row r="31" spans="1:11" x14ac:dyDescent="0.2">
      <c r="A31" s="52"/>
      <c r="B31" s="52"/>
      <c r="C31" s="52"/>
      <c r="D31" s="52"/>
      <c r="E31" s="52"/>
      <c r="F31" s="53" t="s">
        <v>33</v>
      </c>
      <c r="G31" s="53" t="s">
        <v>34</v>
      </c>
      <c r="H31" s="53" t="s">
        <v>35</v>
      </c>
      <c r="I31" s="52"/>
      <c r="J31" s="52"/>
    </row>
    <row r="32" spans="1:11" x14ac:dyDescent="0.2">
      <c r="A32" s="52"/>
      <c r="B32" s="52"/>
      <c r="C32" s="52"/>
      <c r="D32" s="52"/>
      <c r="E32" s="54">
        <f>+E10</f>
        <v>32540</v>
      </c>
      <c r="F32" s="54">
        <f>E32/2</f>
        <v>16270</v>
      </c>
      <c r="G32" s="54">
        <f>E32*0.35</f>
        <v>11389</v>
      </c>
      <c r="H32" s="54">
        <f>E32*0.15</f>
        <v>4881</v>
      </c>
      <c r="I32" s="52"/>
      <c r="J32" s="52"/>
    </row>
    <row r="33" spans="1:10" x14ac:dyDescent="0.2">
      <c r="A33" s="52"/>
      <c r="B33" s="52"/>
      <c r="C33" s="52"/>
      <c r="D33" s="52"/>
      <c r="E33" s="52">
        <v>0.15</v>
      </c>
      <c r="F33" s="52"/>
      <c r="G33" s="52"/>
      <c r="H33" s="53" t="s">
        <v>36</v>
      </c>
      <c r="I33" s="52"/>
      <c r="J33" s="52"/>
    </row>
    <row r="34" spans="1:10" x14ac:dyDescent="0.2">
      <c r="A34" s="52"/>
      <c r="B34" s="52"/>
      <c r="C34" s="52"/>
      <c r="D34" s="52"/>
      <c r="E34" s="54">
        <f>E33*E32</f>
        <v>4881</v>
      </c>
      <c r="F34" s="53" t="s">
        <v>32</v>
      </c>
      <c r="G34" s="52"/>
      <c r="H34" s="52"/>
      <c r="I34" s="52"/>
      <c r="J34" s="52"/>
    </row>
    <row r="35" spans="1:10" x14ac:dyDescent="0.2">
      <c r="A35" s="52"/>
      <c r="B35" s="52"/>
      <c r="C35" s="52"/>
      <c r="D35" s="52"/>
      <c r="E35" s="52">
        <v>941</v>
      </c>
      <c r="F35" s="53" t="s">
        <v>11</v>
      </c>
      <c r="G35" s="52"/>
      <c r="H35" s="55">
        <v>0.89700000000000002</v>
      </c>
      <c r="I35" s="53" t="s">
        <v>11</v>
      </c>
      <c r="J35" s="54">
        <f>H32*0.897</f>
        <v>4378.2570000000005</v>
      </c>
    </row>
    <row r="36" spans="1:10" x14ac:dyDescent="0.2">
      <c r="A36" s="52"/>
      <c r="B36" s="52"/>
      <c r="C36" s="52"/>
      <c r="D36" s="52"/>
      <c r="E36" s="52"/>
      <c r="F36" s="52"/>
      <c r="G36" s="52"/>
      <c r="H36" s="55">
        <v>4.6800000000000001E-2</v>
      </c>
      <c r="I36" s="53" t="s">
        <v>12</v>
      </c>
      <c r="J36" s="54">
        <f>H32*0.0468</f>
        <v>228.4308</v>
      </c>
    </row>
    <row r="37" spans="1:10" x14ac:dyDescent="0.2">
      <c r="A37" s="52"/>
      <c r="B37" s="52"/>
      <c r="C37" s="52">
        <v>23.494</v>
      </c>
      <c r="D37" s="52">
        <v>100</v>
      </c>
      <c r="E37" s="52"/>
      <c r="F37" s="52"/>
      <c r="G37" s="52"/>
      <c r="H37" s="55">
        <v>5.5300000000000002E-2</v>
      </c>
      <c r="I37" s="53" t="s">
        <v>13</v>
      </c>
      <c r="J37" s="54">
        <f>H32*0.0553</f>
        <v>269.91930000000002</v>
      </c>
    </row>
    <row r="38" spans="1:10" x14ac:dyDescent="0.2">
      <c r="A38" s="52"/>
      <c r="B38" s="52"/>
      <c r="C38" s="52">
        <v>21.08</v>
      </c>
      <c r="D38" s="52">
        <f>(C38*D37)/C37</f>
        <v>89.725036179450072</v>
      </c>
      <c r="E38" s="53" t="s">
        <v>11</v>
      </c>
      <c r="F38" s="52"/>
      <c r="G38" s="52"/>
      <c r="H38" s="52"/>
      <c r="I38" s="52"/>
      <c r="J38" s="54">
        <f>SUM(J35:J37)</f>
        <v>4876.6071000000011</v>
      </c>
    </row>
    <row r="39" spans="1:10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</row>
    <row r="40" spans="1:10" x14ac:dyDescent="0.2">
      <c r="A40" s="52"/>
      <c r="B40" s="52"/>
      <c r="C40" s="52">
        <v>23.494</v>
      </c>
      <c r="D40" s="52">
        <v>100</v>
      </c>
      <c r="E40" s="52"/>
      <c r="F40" s="52"/>
      <c r="G40" s="52"/>
      <c r="H40" s="52"/>
      <c r="I40" s="52"/>
      <c r="J40" s="52"/>
    </row>
    <row r="41" spans="1:10" x14ac:dyDescent="0.2">
      <c r="A41" s="52"/>
      <c r="B41" s="52"/>
      <c r="C41" s="52">
        <v>1.1000000000000001</v>
      </c>
      <c r="D41" s="52">
        <f>(C41*D40)/C40</f>
        <v>4.6820464799523291</v>
      </c>
      <c r="E41" s="52"/>
      <c r="F41" s="52"/>
      <c r="G41" s="52"/>
      <c r="H41" s="52"/>
      <c r="I41" s="52"/>
      <c r="J41" s="52"/>
    </row>
    <row r="42" spans="1:10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</row>
    <row r="43" spans="1:10" x14ac:dyDescent="0.2">
      <c r="A43" s="52"/>
      <c r="B43" s="52"/>
      <c r="C43" s="52">
        <v>23.494</v>
      </c>
      <c r="D43" s="52">
        <v>100</v>
      </c>
      <c r="E43" s="52"/>
      <c r="F43" s="52"/>
      <c r="G43" s="56" t="s">
        <v>37</v>
      </c>
      <c r="I43" s="52"/>
      <c r="J43" s="52"/>
    </row>
    <row r="44" spans="1:10" x14ac:dyDescent="0.2">
      <c r="A44" s="52"/>
      <c r="B44" s="52"/>
      <c r="C44" s="52">
        <v>1.3</v>
      </c>
      <c r="D44" s="52">
        <f>(C44*D43)/C43</f>
        <v>5.5333276581254793</v>
      </c>
      <c r="E44" s="52"/>
      <c r="F44" s="52"/>
      <c r="G44" s="52"/>
      <c r="H44" s="52"/>
      <c r="I44" s="52"/>
      <c r="J44" s="52"/>
    </row>
  </sheetData>
  <mergeCells count="5">
    <mergeCell ref="B1:F1"/>
    <mergeCell ref="H1:K1"/>
    <mergeCell ref="N1:R1"/>
    <mergeCell ref="H2:K2"/>
    <mergeCell ref="H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2" sqref="D2:D4"/>
    </sheetView>
  </sheetViews>
  <sheetFormatPr defaultRowHeight="12" x14ac:dyDescent="0.2"/>
  <sheetData>
    <row r="1" spans="1:4" ht="57.75" thickBot="1" x14ac:dyDescent="0.25">
      <c r="A1" s="9" t="s">
        <v>10</v>
      </c>
      <c r="B1" s="10" t="s">
        <v>18</v>
      </c>
      <c r="C1" s="10" t="s">
        <v>19</v>
      </c>
      <c r="D1" s="11" t="s">
        <v>20</v>
      </c>
    </row>
    <row r="2" spans="1:4" ht="15" thickBot="1" x14ac:dyDescent="0.25">
      <c r="A2" s="12" t="s">
        <v>11</v>
      </c>
      <c r="B2" s="13">
        <v>191</v>
      </c>
      <c r="C2" s="13">
        <v>23</v>
      </c>
      <c r="D2" s="13">
        <v>28</v>
      </c>
    </row>
    <row r="3" spans="1:4" ht="15" thickBot="1" x14ac:dyDescent="0.25">
      <c r="A3" s="14" t="s">
        <v>12</v>
      </c>
      <c r="B3" s="15">
        <v>39</v>
      </c>
      <c r="C3" s="15">
        <v>99</v>
      </c>
      <c r="D3" s="15">
        <v>72</v>
      </c>
    </row>
    <row r="4" spans="1:4" ht="15" thickBot="1" x14ac:dyDescent="0.25">
      <c r="A4" s="12" t="s">
        <v>13</v>
      </c>
      <c r="B4" s="13">
        <v>94</v>
      </c>
      <c r="C4" s="13">
        <v>399</v>
      </c>
      <c r="D4" s="13">
        <v>395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" sqref="D2:D4"/>
    </sheetView>
  </sheetViews>
  <sheetFormatPr defaultRowHeight="12" x14ac:dyDescent="0.2"/>
  <cols>
    <col min="1" max="1" width="20.42578125" customWidth="1"/>
  </cols>
  <sheetData>
    <row r="1" spans="1:4" ht="15" thickBot="1" x14ac:dyDescent="0.25">
      <c r="A1" s="9" t="s">
        <v>10</v>
      </c>
      <c r="B1" s="10">
        <v>2012</v>
      </c>
      <c r="C1" s="10">
        <v>2013</v>
      </c>
      <c r="D1" s="11">
        <v>2014</v>
      </c>
    </row>
    <row r="2" spans="1:4" ht="15" thickBot="1" x14ac:dyDescent="0.25">
      <c r="A2" s="12" t="s">
        <v>11</v>
      </c>
      <c r="B2" s="13">
        <v>906</v>
      </c>
      <c r="C2" s="13">
        <v>975</v>
      </c>
      <c r="D2" s="13">
        <v>963</v>
      </c>
    </row>
    <row r="3" spans="1:4" ht="15" thickBot="1" x14ac:dyDescent="0.25">
      <c r="A3" s="14" t="s">
        <v>12</v>
      </c>
      <c r="B3" s="15">
        <v>3521</v>
      </c>
      <c r="C3" s="15">
        <v>3623</v>
      </c>
      <c r="D3" s="15">
        <v>3705</v>
      </c>
    </row>
    <row r="4" spans="1:4" ht="15" thickBot="1" x14ac:dyDescent="0.25">
      <c r="A4" s="12" t="s">
        <v>13</v>
      </c>
      <c r="B4" s="13">
        <v>7204</v>
      </c>
      <c r="C4" s="13">
        <v>7512</v>
      </c>
      <c r="D4" s="13">
        <v>7580</v>
      </c>
    </row>
    <row r="7" spans="1:4" x14ac:dyDescent="0.2">
      <c r="A7" s="16" t="s">
        <v>14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2" sqref="C2:C4"/>
    </sheetView>
  </sheetViews>
  <sheetFormatPr defaultRowHeight="12" x14ac:dyDescent="0.2"/>
  <cols>
    <col min="1" max="1" width="20.7109375" customWidth="1"/>
    <col min="2" max="2" width="15.42578125" customWidth="1"/>
    <col min="3" max="3" width="18.42578125" customWidth="1"/>
    <col min="4" max="4" width="17.42578125" customWidth="1"/>
  </cols>
  <sheetData>
    <row r="1" spans="1:4" ht="15" thickBot="1" x14ac:dyDescent="0.25">
      <c r="A1" s="9" t="s">
        <v>10</v>
      </c>
      <c r="B1" s="10">
        <v>2012</v>
      </c>
      <c r="C1" s="10">
        <v>2013</v>
      </c>
      <c r="D1" s="11">
        <v>2014</v>
      </c>
    </row>
    <row r="2" spans="1:4" ht="15" thickBot="1" x14ac:dyDescent="0.25">
      <c r="A2" s="12" t="s">
        <v>11</v>
      </c>
      <c r="B2" s="20">
        <v>1300</v>
      </c>
      <c r="C2" s="20">
        <v>4500</v>
      </c>
      <c r="D2" s="17"/>
    </row>
    <row r="3" spans="1:4" ht="15" thickBot="1" x14ac:dyDescent="0.25">
      <c r="A3" s="14" t="s">
        <v>12</v>
      </c>
      <c r="B3" s="21">
        <v>3412</v>
      </c>
      <c r="C3" s="21">
        <v>8000</v>
      </c>
      <c r="D3" s="18"/>
    </row>
    <row r="4" spans="1:4" ht="15" thickBot="1" x14ac:dyDescent="0.25">
      <c r="A4" s="12" t="s">
        <v>13</v>
      </c>
      <c r="B4" s="20">
        <v>10237</v>
      </c>
      <c r="C4" s="20">
        <v>15250</v>
      </c>
      <c r="D4" s="17"/>
    </row>
    <row r="5" spans="1:4" x14ac:dyDescent="0.2">
      <c r="A5" s="16" t="s">
        <v>5</v>
      </c>
      <c r="B5" s="19">
        <f>SUM(B2:B4)</f>
        <v>14949</v>
      </c>
      <c r="C5" s="19">
        <f>SUM(C2:C4)</f>
        <v>27750</v>
      </c>
      <c r="D5" s="19">
        <f>SUM(D2:D4)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Conference</vt:lpstr>
      <vt:lpstr>Consolidated</vt:lpstr>
      <vt:lpstr>Sheet1</vt:lpstr>
      <vt:lpstr>Attendance</vt:lpstr>
      <vt:lpstr>Membership</vt:lpstr>
      <vt:lpstr>SHAPE Payments per State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Santamaria</dc:creator>
  <cp:lastModifiedBy>Patty Hickok</cp:lastModifiedBy>
  <dcterms:created xsi:type="dcterms:W3CDTF">2012-09-26T21:56:35Z</dcterms:created>
  <dcterms:modified xsi:type="dcterms:W3CDTF">2015-04-28T23:02:07Z</dcterms:modified>
</cp:coreProperties>
</file>